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9720" windowHeight="654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<sst xmlns="http://schemas.openxmlformats.org/spreadsheetml/2006/main" count="84" uniqueCount="75">
  <si>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שנת הפעלה</t>
  </si>
  <si>
    <t>חילוט 2% + מע"מ</t>
  </si>
  <si>
    <t>יתרת התחייבות לדיירים</t>
  </si>
  <si>
    <t>דמי כניסה</t>
  </si>
  <si>
    <t>חילוט 24% + מע"מ</t>
  </si>
  <si>
    <t>יתרת התחייבות  לדיירים</t>
  </si>
  <si>
    <t xml:space="preserve"> </t>
  </si>
  <si>
    <t>ראשון</t>
  </si>
  <si>
    <t>שני</t>
  </si>
  <si>
    <t>שלישי</t>
  </si>
  <si>
    <t>רביעי</t>
  </si>
  <si>
    <t>מודל חלוקה:</t>
  </si>
  <si>
    <t>דמי פקדון</t>
  </si>
  <si>
    <t>שיקלול יחידה ממוצעת</t>
  </si>
  <si>
    <t>חילוטים</t>
  </si>
  <si>
    <t>סך הכנסות לחדר משוקלל</t>
  </si>
  <si>
    <t>ערך נוכחי</t>
  </si>
  <si>
    <t>שיעור היוון שנתי / מחזור</t>
  </si>
  <si>
    <t>רווח מדמי אחזקה</t>
  </si>
  <si>
    <t>דמי אחזקה</t>
  </si>
  <si>
    <t>מספר חדרים</t>
  </si>
  <si>
    <t>תפוסה</t>
  </si>
  <si>
    <t>הכנסות ממחלקה סעודית</t>
  </si>
  <si>
    <t>40 מיטות</t>
  </si>
  <si>
    <t>הוצאות</t>
  </si>
  <si>
    <t xml:space="preserve">הערה: </t>
  </si>
  <si>
    <t>גרט</t>
  </si>
  <si>
    <t>קרקע + שלד</t>
  </si>
  <si>
    <t>דמי האחזקה אמורים להספיק להחזקת בית האבות. המעוניינים באוכל בחדר  אוכל  משלמים בנפרד.</t>
  </si>
  <si>
    <t>סה"כ שווי כ"עסק חי" ומניב הכנסה</t>
  </si>
  <si>
    <t>א</t>
  </si>
  <si>
    <t>א* 2%*1.17=ב</t>
  </si>
  <si>
    <t>א-ב=ג</t>
  </si>
  <si>
    <t>ד</t>
  </si>
  <si>
    <t>ד*2%*12*1.17=ה</t>
  </si>
  <si>
    <t>ז</t>
  </si>
  <si>
    <t>ד-ה = ו</t>
  </si>
  <si>
    <t>ח</t>
  </si>
  <si>
    <t>ג*ז + ו*ח = יא</t>
  </si>
  <si>
    <t>יא*6.5%=יב</t>
  </si>
  <si>
    <t>יג</t>
  </si>
  <si>
    <t>י+יב+טו=יז</t>
  </si>
  <si>
    <t>יח</t>
  </si>
  <si>
    <t>יט</t>
  </si>
  <si>
    <t>יז*יח*יט=כ</t>
  </si>
  <si>
    <t>ל</t>
  </si>
  <si>
    <t>מ</t>
  </si>
  <si>
    <t>כ+ל+מ+נ=ס</t>
  </si>
  <si>
    <t>ע מהוון=פ</t>
  </si>
  <si>
    <t>ס+פ</t>
  </si>
  <si>
    <t>דמי  פקדון/יתרת התחייבות  ליחידה</t>
  </si>
  <si>
    <t>דמי כניסה/יתרת התחייבות ליחידה</t>
  </si>
  <si>
    <t>י= 1.17/(ב*ז+ה*ח)</t>
  </si>
  <si>
    <t>הכנסות מריבית לשנה</t>
  </si>
  <si>
    <t>יג*8%/1.17=טו</t>
  </si>
  <si>
    <t>סה"כ הכנסות (כ)</t>
  </si>
  <si>
    <t>סך רווחים בערך נוכחי (כ+ל+מ+נ)=ס</t>
  </si>
  <si>
    <t>ערך גרט 6.5% לשנה 29 שנים (פ)</t>
  </si>
  <si>
    <t>ע.נ רווח תפעולי נקי ממחלקה סעודית (נ)</t>
  </si>
  <si>
    <t>היוון 12% תחילת תקופה BGIN</t>
  </si>
  <si>
    <t>חילוט בתחילת שנה BGIN</t>
  </si>
  <si>
    <t>ע (הגרט)</t>
  </si>
  <si>
    <t>הכנסות משטחי אחסנה (ל) 625 מ"ר * 7.5 $</t>
  </si>
  <si>
    <t>למ"ר (/12,500)</t>
  </si>
  <si>
    <t>הכנסות משטחי מסחר (מ),25 מ"ר * 50 מ"ר</t>
  </si>
  <si>
    <t>לחדר (/300)</t>
  </si>
  <si>
    <t>בניכוי רווח יזמי 25%</t>
  </si>
  <si>
    <t xml:space="preserve">בניכוי עלות בניה </t>
  </si>
  <si>
    <t>יתרה לקרקע למ"ר מבונה</t>
  </si>
  <si>
    <t>X</t>
  </si>
  <si>
    <t>=</t>
  </si>
  <si>
    <t>:</t>
  </si>
  <si>
    <t>חילוט עם מע"מ</t>
  </si>
  <si>
    <t>מספר חודשי חילוט</t>
  </si>
  <si>
    <t>מספר שנים לחילוט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</si>
</sst>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"/>
    <numFmt numFmtId="173" formatCode="[$$-409]#,##0.00"/>
    <numFmt numFmtId="174" formatCode="[$$-409]#,##0.0"/>
  </numFmts>
  <fonts count="3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41" fontId="0" fillId="0" borderId="0" applyFont="0" applyFill="0" applyBorder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4" xfId="0" applyNumberFormat="1" applyBorder="1" applyAlignment="1">
      <alignment/>
    </xf>
    <xf numFmtId="10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9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9" fontId="0" fillId="0" borderId="17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5.00390625" style="0" customWidth="1"/>
    <col min="3" max="3" width="12.57421875" style="0" bestFit="1" customWidth="1"/>
    <col min="31" max="31" width="11.00390625" style="0" customWidth="1"/>
  </cols>
  <sheetData>
    <row r="1" spans="1:31" ht="12">
      <c r="A1" s="7" t="s">
        <v>0</v>
      </c>
      <c r="B1" s="10" t="s">
        <v>16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t="s">
        <v>26</v>
      </c>
    </row>
    <row r="2" spans="1:31" ht="12">
      <c r="A2" s="8" t="s">
        <v>17</v>
      </c>
      <c r="B2" s="11">
        <v>0.12</v>
      </c>
      <c r="C2" s="6" t="s">
        <v>7</v>
      </c>
      <c r="D2" s="6"/>
      <c r="E2" s="6"/>
      <c r="F2" s="6"/>
      <c r="G2" s="6"/>
      <c r="H2" s="6"/>
      <c r="I2" s="6"/>
      <c r="J2" s="6" t="s">
        <v>8</v>
      </c>
      <c r="K2" s="6"/>
      <c r="L2" s="6"/>
      <c r="M2" s="6"/>
      <c r="N2" s="6"/>
      <c r="O2" s="6"/>
      <c r="P2" s="6"/>
      <c r="Q2" s="6" t="s">
        <v>9</v>
      </c>
      <c r="R2" s="6"/>
      <c r="S2" s="6"/>
      <c r="T2" s="6"/>
      <c r="U2" s="6"/>
      <c r="V2" s="6"/>
      <c r="W2" s="6"/>
      <c r="X2" s="6" t="s">
        <v>10</v>
      </c>
      <c r="Y2" s="6"/>
      <c r="Z2" s="6"/>
      <c r="AA2" s="6"/>
      <c r="AB2" s="6"/>
      <c r="AC2" s="6"/>
      <c r="AD2" s="6"/>
      <c r="AE2" s="5" t="s">
        <v>27</v>
      </c>
    </row>
    <row r="3" spans="1:30" ht="12">
      <c r="A3" s="7" t="s">
        <v>50</v>
      </c>
      <c r="B3" s="10" t="s">
        <v>30</v>
      </c>
      <c r="C3" s="3">
        <v>130000</v>
      </c>
      <c r="D3" s="3">
        <f>C5</f>
        <v>126958</v>
      </c>
      <c r="E3" s="3">
        <f>D5</f>
        <v>123916</v>
      </c>
      <c r="F3" s="3">
        <f aca="true" t="shared" si="0" ref="F3:AD3">E5</f>
        <v>120874</v>
      </c>
      <c r="G3" s="3">
        <f t="shared" si="0"/>
        <v>117832</v>
      </c>
      <c r="H3" s="3">
        <f t="shared" si="0"/>
        <v>114790</v>
      </c>
      <c r="I3" s="3">
        <f t="shared" si="0"/>
        <v>111748</v>
      </c>
      <c r="J3" s="3">
        <f>+C3</f>
        <v>130000</v>
      </c>
      <c r="K3" s="3">
        <f t="shared" si="0"/>
        <v>126958</v>
      </c>
      <c r="L3" s="3">
        <f t="shared" si="0"/>
        <v>123916</v>
      </c>
      <c r="M3" s="3">
        <f t="shared" si="0"/>
        <v>120874</v>
      </c>
      <c r="N3" s="3">
        <f t="shared" si="0"/>
        <v>117832</v>
      </c>
      <c r="O3" s="3">
        <f t="shared" si="0"/>
        <v>114790</v>
      </c>
      <c r="P3" s="3">
        <f t="shared" si="0"/>
        <v>111748</v>
      </c>
      <c r="Q3" s="3">
        <f>+C3</f>
        <v>130000</v>
      </c>
      <c r="R3" s="3">
        <f t="shared" si="0"/>
        <v>126958</v>
      </c>
      <c r="S3" s="3">
        <f t="shared" si="0"/>
        <v>123916</v>
      </c>
      <c r="T3" s="3">
        <f t="shared" si="0"/>
        <v>120874</v>
      </c>
      <c r="U3" s="3">
        <f t="shared" si="0"/>
        <v>117832</v>
      </c>
      <c r="V3" s="3">
        <f t="shared" si="0"/>
        <v>114790</v>
      </c>
      <c r="W3" s="3">
        <f t="shared" si="0"/>
        <v>111748</v>
      </c>
      <c r="X3" s="3">
        <f>+C3</f>
        <v>130000</v>
      </c>
      <c r="Y3" s="3">
        <f t="shared" si="0"/>
        <v>126958</v>
      </c>
      <c r="Z3" s="3">
        <f t="shared" si="0"/>
        <v>123916</v>
      </c>
      <c r="AA3" s="3">
        <f t="shared" si="0"/>
        <v>120874</v>
      </c>
      <c r="AB3" s="3">
        <f t="shared" si="0"/>
        <v>117832</v>
      </c>
      <c r="AC3" s="3">
        <f t="shared" si="0"/>
        <v>114790</v>
      </c>
      <c r="AD3" s="3">
        <f t="shared" si="0"/>
        <v>111748</v>
      </c>
    </row>
    <row r="4" spans="1:30" ht="12">
      <c r="A4" s="7" t="s">
        <v>1</v>
      </c>
      <c r="B4" s="10" t="s">
        <v>31</v>
      </c>
      <c r="C4" s="3">
        <f>$C$3*0.02*1.17</f>
        <v>3042</v>
      </c>
      <c r="D4" s="3">
        <f aca="true" t="shared" si="1" ref="D4:AD4">$C$3*0.02*1.17</f>
        <v>3042</v>
      </c>
      <c r="E4" s="3">
        <f t="shared" si="1"/>
        <v>3042</v>
      </c>
      <c r="F4" s="3">
        <f t="shared" si="1"/>
        <v>3042</v>
      </c>
      <c r="G4" s="3">
        <f t="shared" si="1"/>
        <v>3042</v>
      </c>
      <c r="H4" s="3">
        <f t="shared" si="1"/>
        <v>3042</v>
      </c>
      <c r="I4" s="3">
        <f t="shared" si="1"/>
        <v>3042</v>
      </c>
      <c r="J4" s="3">
        <f t="shared" si="1"/>
        <v>3042</v>
      </c>
      <c r="K4" s="3">
        <f t="shared" si="1"/>
        <v>3042</v>
      </c>
      <c r="L4" s="3">
        <f t="shared" si="1"/>
        <v>3042</v>
      </c>
      <c r="M4" s="3">
        <f t="shared" si="1"/>
        <v>3042</v>
      </c>
      <c r="N4" s="3">
        <f t="shared" si="1"/>
        <v>3042</v>
      </c>
      <c r="O4" s="3">
        <f t="shared" si="1"/>
        <v>3042</v>
      </c>
      <c r="P4" s="3">
        <f t="shared" si="1"/>
        <v>3042</v>
      </c>
      <c r="Q4" s="3">
        <f t="shared" si="1"/>
        <v>3042</v>
      </c>
      <c r="R4" s="3">
        <f t="shared" si="1"/>
        <v>3042</v>
      </c>
      <c r="S4" s="3">
        <f t="shared" si="1"/>
        <v>3042</v>
      </c>
      <c r="T4" s="3">
        <f t="shared" si="1"/>
        <v>3042</v>
      </c>
      <c r="U4" s="3">
        <f t="shared" si="1"/>
        <v>3042</v>
      </c>
      <c r="V4" s="3">
        <f t="shared" si="1"/>
        <v>3042</v>
      </c>
      <c r="W4" s="3">
        <f t="shared" si="1"/>
        <v>3042</v>
      </c>
      <c r="X4" s="3">
        <f t="shared" si="1"/>
        <v>3042</v>
      </c>
      <c r="Y4" s="3">
        <f t="shared" si="1"/>
        <v>3042</v>
      </c>
      <c r="Z4" s="3">
        <f t="shared" si="1"/>
        <v>3042</v>
      </c>
      <c r="AA4" s="3">
        <f t="shared" si="1"/>
        <v>3042</v>
      </c>
      <c r="AB4" s="3">
        <f t="shared" si="1"/>
        <v>3042</v>
      </c>
      <c r="AC4" s="3">
        <f t="shared" si="1"/>
        <v>3042</v>
      </c>
      <c r="AD4" s="3">
        <f t="shared" si="1"/>
        <v>3042</v>
      </c>
    </row>
    <row r="5" spans="1:30" ht="12">
      <c r="A5" s="7" t="s">
        <v>2</v>
      </c>
      <c r="B5" s="10" t="s">
        <v>32</v>
      </c>
      <c r="C5" s="3">
        <f>C3-C4</f>
        <v>126958</v>
      </c>
      <c r="D5" s="3">
        <f>D3-D4</f>
        <v>123916</v>
      </c>
      <c r="E5" s="3">
        <f>E3-E4</f>
        <v>120874</v>
      </c>
      <c r="F5" s="3">
        <f aca="true" t="shared" si="2" ref="F5:AD5">F3-F4</f>
        <v>117832</v>
      </c>
      <c r="G5" s="3">
        <f t="shared" si="2"/>
        <v>114790</v>
      </c>
      <c r="H5" s="3">
        <f t="shared" si="2"/>
        <v>111748</v>
      </c>
      <c r="I5" s="3">
        <f t="shared" si="2"/>
        <v>108706</v>
      </c>
      <c r="J5" s="3">
        <f t="shared" si="2"/>
        <v>126958</v>
      </c>
      <c r="K5" s="3">
        <f t="shared" si="2"/>
        <v>123916</v>
      </c>
      <c r="L5" s="3">
        <f t="shared" si="2"/>
        <v>120874</v>
      </c>
      <c r="M5" s="3">
        <f t="shared" si="2"/>
        <v>117832</v>
      </c>
      <c r="N5" s="3">
        <f t="shared" si="2"/>
        <v>114790</v>
      </c>
      <c r="O5" s="3">
        <f t="shared" si="2"/>
        <v>111748</v>
      </c>
      <c r="P5" s="3">
        <f t="shared" si="2"/>
        <v>108706</v>
      </c>
      <c r="Q5" s="3">
        <f t="shared" si="2"/>
        <v>126958</v>
      </c>
      <c r="R5" s="3">
        <f t="shared" si="2"/>
        <v>123916</v>
      </c>
      <c r="S5" s="3">
        <f t="shared" si="2"/>
        <v>120874</v>
      </c>
      <c r="T5" s="3">
        <f t="shared" si="2"/>
        <v>117832</v>
      </c>
      <c r="U5" s="3">
        <f t="shared" si="2"/>
        <v>114790</v>
      </c>
      <c r="V5" s="3">
        <f t="shared" si="2"/>
        <v>111748</v>
      </c>
      <c r="W5" s="3">
        <f t="shared" si="2"/>
        <v>108706</v>
      </c>
      <c r="X5" s="3">
        <f t="shared" si="2"/>
        <v>126958</v>
      </c>
      <c r="Y5" s="3">
        <f t="shared" si="2"/>
        <v>123916</v>
      </c>
      <c r="Z5" s="3">
        <f t="shared" si="2"/>
        <v>120874</v>
      </c>
      <c r="AA5" s="3">
        <f t="shared" si="2"/>
        <v>117832</v>
      </c>
      <c r="AB5" s="3">
        <f t="shared" si="2"/>
        <v>114790</v>
      </c>
      <c r="AC5" s="3">
        <f t="shared" si="2"/>
        <v>111748</v>
      </c>
      <c r="AD5" s="3">
        <f t="shared" si="2"/>
        <v>108706</v>
      </c>
    </row>
    <row r="6" spans="1:2" ht="12">
      <c r="A6" s="7"/>
      <c r="B6" s="10"/>
    </row>
    <row r="7" spans="1:27" ht="12">
      <c r="A7" s="7" t="s">
        <v>51</v>
      </c>
      <c r="B7" s="10" t="s">
        <v>33</v>
      </c>
      <c r="C7" s="3">
        <v>50000</v>
      </c>
      <c r="D7" s="3">
        <f>+C9</f>
        <v>35960</v>
      </c>
      <c r="E7" s="3">
        <f aca="true" t="shared" si="3" ref="E7:AA7">+D9</f>
        <v>21920</v>
      </c>
      <c r="F7" s="3">
        <f t="shared" si="3"/>
        <v>7880</v>
      </c>
      <c r="J7" s="3">
        <f>+C7</f>
        <v>50000</v>
      </c>
      <c r="K7" s="3">
        <f t="shared" si="3"/>
        <v>35960</v>
      </c>
      <c r="L7" s="3">
        <f t="shared" si="3"/>
        <v>21920</v>
      </c>
      <c r="M7" s="3">
        <f t="shared" si="3"/>
        <v>7880</v>
      </c>
      <c r="Q7" s="3">
        <f>+C7</f>
        <v>50000</v>
      </c>
      <c r="R7" s="3">
        <f t="shared" si="3"/>
        <v>35960</v>
      </c>
      <c r="S7" s="3">
        <f t="shared" si="3"/>
        <v>21920</v>
      </c>
      <c r="T7" s="3">
        <f t="shared" si="3"/>
        <v>7880</v>
      </c>
      <c r="X7" s="3">
        <f>+C7</f>
        <v>50000</v>
      </c>
      <c r="Y7" s="3">
        <f t="shared" si="3"/>
        <v>35960</v>
      </c>
      <c r="Z7" s="3">
        <f t="shared" si="3"/>
        <v>21920</v>
      </c>
      <c r="AA7" s="3">
        <f t="shared" si="3"/>
        <v>7880</v>
      </c>
    </row>
    <row r="8" spans="1:27" ht="12">
      <c r="A8" s="7" t="s">
        <v>4</v>
      </c>
      <c r="B8" s="10" t="s">
        <v>34</v>
      </c>
      <c r="C8" s="3">
        <f>$C$7*0.24*1.17</f>
        <v>14040</v>
      </c>
      <c r="D8" s="3">
        <f>$C$7*0.24*1.17</f>
        <v>14040</v>
      </c>
      <c r="E8" s="3">
        <f>$C$7*0.24*1.17</f>
        <v>14040</v>
      </c>
      <c r="F8" s="3">
        <f>+F7</f>
        <v>7880</v>
      </c>
      <c r="J8" s="3">
        <f>$C$7*0.24*1.17</f>
        <v>14040</v>
      </c>
      <c r="K8" s="3">
        <f>$C$7*0.24*1.17</f>
        <v>14040</v>
      </c>
      <c r="L8" s="3">
        <f>$C$7*0.24*1.17</f>
        <v>14040</v>
      </c>
      <c r="M8" s="3">
        <f>+M7</f>
        <v>7880</v>
      </c>
      <c r="Q8" s="3">
        <f>$C$7*0.24*1.17</f>
        <v>14040</v>
      </c>
      <c r="R8" s="3">
        <f>$C$7*0.24*1.17</f>
        <v>14040</v>
      </c>
      <c r="S8" s="3">
        <f>$C$7*0.24*1.17</f>
        <v>14040</v>
      </c>
      <c r="T8" s="3">
        <f>+T7</f>
        <v>7880</v>
      </c>
      <c r="X8" s="3">
        <f>$C$7*0.24*1.17</f>
        <v>14040</v>
      </c>
      <c r="Y8" s="3">
        <f>$C$7*0.24*1.17</f>
        <v>14040</v>
      </c>
      <c r="Z8" s="3">
        <f>$C$7*0.24*1.17</f>
        <v>14040</v>
      </c>
      <c r="AA8" s="3">
        <f>+AA7</f>
        <v>7880</v>
      </c>
    </row>
    <row r="9" spans="1:27" ht="12">
      <c r="A9" s="7" t="s">
        <v>5</v>
      </c>
      <c r="B9" s="10" t="s">
        <v>36</v>
      </c>
      <c r="C9" s="3">
        <f>C7-C8</f>
        <v>35960</v>
      </c>
      <c r="D9" s="3">
        <f>D7-D8</f>
        <v>21920</v>
      </c>
      <c r="E9" s="3">
        <f>E7-E8</f>
        <v>7880</v>
      </c>
      <c r="F9" s="3">
        <f>F7-F8</f>
        <v>0</v>
      </c>
      <c r="J9" s="3">
        <f>J7-J8</f>
        <v>35960</v>
      </c>
      <c r="K9" s="3">
        <f>K7-K8</f>
        <v>21920</v>
      </c>
      <c r="L9" s="3">
        <f>L7-L8</f>
        <v>7880</v>
      </c>
      <c r="M9" s="3">
        <f>M7-M8</f>
        <v>0</v>
      </c>
      <c r="Q9" s="3">
        <f>Q7-Q8</f>
        <v>35960</v>
      </c>
      <c r="R9" s="3">
        <f>R7-R8</f>
        <v>21920</v>
      </c>
      <c r="S9" s="3">
        <f>S7-S8</f>
        <v>7880</v>
      </c>
      <c r="T9" s="3">
        <f>T7-T8</f>
        <v>0</v>
      </c>
      <c r="X9" s="3">
        <f>X7-X8</f>
        <v>35960</v>
      </c>
      <c r="Y9" s="3">
        <f>Y7-Y8</f>
        <v>21920</v>
      </c>
      <c r="Z9" s="3">
        <f>Z7-Z8</f>
        <v>7880</v>
      </c>
      <c r="AA9" s="3">
        <f>AA7-AA8</f>
        <v>0</v>
      </c>
    </row>
    <row r="10" spans="1:2" ht="12">
      <c r="A10" s="7"/>
      <c r="B10" s="10"/>
    </row>
    <row r="11" spans="1:2" ht="12">
      <c r="A11" s="7" t="s">
        <v>11</v>
      </c>
      <c r="B11" s="10"/>
    </row>
    <row r="12" spans="1:3" ht="12">
      <c r="A12" s="7" t="s">
        <v>12</v>
      </c>
      <c r="B12" s="10" t="s">
        <v>35</v>
      </c>
      <c r="C12" s="1">
        <v>0.7</v>
      </c>
    </row>
    <row r="13" spans="1:3" ht="12">
      <c r="A13" s="7" t="s">
        <v>3</v>
      </c>
      <c r="B13" s="10" t="s">
        <v>37</v>
      </c>
      <c r="C13" s="1">
        <v>0.3</v>
      </c>
    </row>
    <row r="14" spans="1:2" ht="12">
      <c r="A14" s="7"/>
      <c r="B14" s="10"/>
    </row>
    <row r="15" spans="1:2" ht="12">
      <c r="A15" s="7" t="s">
        <v>13</v>
      </c>
      <c r="B15" s="10"/>
    </row>
    <row r="16" spans="1:30" ht="12">
      <c r="A16" s="7" t="s">
        <v>14</v>
      </c>
      <c r="B16" s="18" t="s">
        <v>52</v>
      </c>
      <c r="C16" s="3">
        <f>((C4*$C$12)+(C8*$C$13))/1.17</f>
        <v>5420</v>
      </c>
      <c r="D16" s="3">
        <f>((D4*$C$12)+(D8*$C$13))/1.17</f>
        <v>5420</v>
      </c>
      <c r="E16" s="3">
        <f aca="true" t="shared" si="4" ref="E16:AD16">((E4*$C$12)+(E8*$C$13))/1.17</f>
        <v>5420</v>
      </c>
      <c r="F16" s="3">
        <f t="shared" si="4"/>
        <v>3840.5128205128203</v>
      </c>
      <c r="G16" s="3">
        <f t="shared" si="4"/>
        <v>1820.0000000000002</v>
      </c>
      <c r="H16" s="3">
        <f t="shared" si="4"/>
        <v>1820.0000000000002</v>
      </c>
      <c r="I16" s="3">
        <f t="shared" si="4"/>
        <v>1820.0000000000002</v>
      </c>
      <c r="J16" s="3">
        <f t="shared" si="4"/>
        <v>5420</v>
      </c>
      <c r="K16" s="3">
        <f t="shared" si="4"/>
        <v>5420</v>
      </c>
      <c r="L16" s="3">
        <f t="shared" si="4"/>
        <v>5420</v>
      </c>
      <c r="M16" s="3">
        <f t="shared" si="4"/>
        <v>3840.5128205128203</v>
      </c>
      <c r="N16" s="3">
        <f t="shared" si="4"/>
        <v>1820.0000000000002</v>
      </c>
      <c r="O16" s="3">
        <f t="shared" si="4"/>
        <v>1820.0000000000002</v>
      </c>
      <c r="P16" s="3">
        <f t="shared" si="4"/>
        <v>1820.0000000000002</v>
      </c>
      <c r="Q16" s="3">
        <f t="shared" si="4"/>
        <v>5420</v>
      </c>
      <c r="R16" s="3">
        <f t="shared" si="4"/>
        <v>5420</v>
      </c>
      <c r="S16" s="3">
        <f t="shared" si="4"/>
        <v>5420</v>
      </c>
      <c r="T16" s="3">
        <f t="shared" si="4"/>
        <v>3840.5128205128203</v>
      </c>
      <c r="U16" s="3">
        <f t="shared" si="4"/>
        <v>1820.0000000000002</v>
      </c>
      <c r="V16" s="3">
        <f t="shared" si="4"/>
        <v>1820.0000000000002</v>
      </c>
      <c r="W16" s="3">
        <f t="shared" si="4"/>
        <v>1820.0000000000002</v>
      </c>
      <c r="X16" s="3">
        <f t="shared" si="4"/>
        <v>5420</v>
      </c>
      <c r="Y16" s="3">
        <f t="shared" si="4"/>
        <v>5420</v>
      </c>
      <c r="Z16" s="3">
        <f t="shared" si="4"/>
        <v>5420</v>
      </c>
      <c r="AA16" s="3">
        <f t="shared" si="4"/>
        <v>3840.5128205128203</v>
      </c>
      <c r="AB16" s="3">
        <f t="shared" si="4"/>
        <v>1820.0000000000002</v>
      </c>
      <c r="AC16" s="3">
        <f t="shared" si="4"/>
        <v>1820.0000000000002</v>
      </c>
      <c r="AD16" s="3">
        <f t="shared" si="4"/>
        <v>1820.0000000000002</v>
      </c>
    </row>
    <row r="17" spans="1:30" ht="12">
      <c r="A17" s="7" t="s">
        <v>2</v>
      </c>
      <c r="B17" s="10" t="s">
        <v>38</v>
      </c>
      <c r="C17" s="20">
        <f>(C5*$C$12)+(C9*$C$13)</f>
        <v>99658.59999999999</v>
      </c>
      <c r="D17" s="3">
        <f aca="true" t="shared" si="5" ref="D17:AD17">(D5*$C$12)+(D9*$C$13)</f>
        <v>93317.2</v>
      </c>
      <c r="E17" s="3">
        <f t="shared" si="5"/>
        <v>86975.79999999999</v>
      </c>
      <c r="F17" s="3">
        <f t="shared" si="5"/>
        <v>82482.4</v>
      </c>
      <c r="G17" s="3">
        <f t="shared" si="5"/>
        <v>80353</v>
      </c>
      <c r="H17" s="3">
        <f t="shared" si="5"/>
        <v>78223.59999999999</v>
      </c>
      <c r="I17" s="3">
        <f t="shared" si="5"/>
        <v>76094.2</v>
      </c>
      <c r="J17" s="3">
        <f t="shared" si="5"/>
        <v>99658.59999999999</v>
      </c>
      <c r="K17" s="3">
        <f t="shared" si="5"/>
        <v>93317.2</v>
      </c>
      <c r="L17" s="3">
        <f t="shared" si="5"/>
        <v>86975.79999999999</v>
      </c>
      <c r="M17" s="3">
        <f t="shared" si="5"/>
        <v>82482.4</v>
      </c>
      <c r="N17" s="3">
        <f t="shared" si="5"/>
        <v>80353</v>
      </c>
      <c r="O17" s="3">
        <f t="shared" si="5"/>
        <v>78223.59999999999</v>
      </c>
      <c r="P17" s="3">
        <f t="shared" si="5"/>
        <v>76094.2</v>
      </c>
      <c r="Q17" s="3">
        <f t="shared" si="5"/>
        <v>99658.59999999999</v>
      </c>
      <c r="R17" s="3">
        <f t="shared" si="5"/>
        <v>93317.2</v>
      </c>
      <c r="S17" s="3">
        <f t="shared" si="5"/>
        <v>86975.79999999999</v>
      </c>
      <c r="T17" s="3">
        <f t="shared" si="5"/>
        <v>82482.4</v>
      </c>
      <c r="U17" s="3">
        <f t="shared" si="5"/>
        <v>80353</v>
      </c>
      <c r="V17" s="3">
        <f t="shared" si="5"/>
        <v>78223.59999999999</v>
      </c>
      <c r="W17" s="3">
        <f t="shared" si="5"/>
        <v>76094.2</v>
      </c>
      <c r="X17" s="3">
        <f t="shared" si="5"/>
        <v>99658.59999999999</v>
      </c>
      <c r="Y17" s="3">
        <f t="shared" si="5"/>
        <v>93317.2</v>
      </c>
      <c r="Z17" s="3">
        <f t="shared" si="5"/>
        <v>86975.79999999999</v>
      </c>
      <c r="AA17" s="3">
        <f t="shared" si="5"/>
        <v>82482.4</v>
      </c>
      <c r="AB17" s="3">
        <f t="shared" si="5"/>
        <v>80353</v>
      </c>
      <c r="AC17" s="3">
        <f t="shared" si="5"/>
        <v>78223.59999999999</v>
      </c>
      <c r="AD17" s="3">
        <f t="shared" si="5"/>
        <v>76094.2</v>
      </c>
    </row>
    <row r="18" spans="1:2" ht="12">
      <c r="A18" s="7" t="s">
        <v>6</v>
      </c>
      <c r="B18" s="10"/>
    </row>
    <row r="19" spans="1:2" ht="12">
      <c r="A19" s="7" t="s">
        <v>53</v>
      </c>
      <c r="B19" s="10"/>
    </row>
    <row r="20" spans="1:30" ht="12">
      <c r="A20" s="9">
        <v>0.065</v>
      </c>
      <c r="B20" s="12" t="s">
        <v>39</v>
      </c>
      <c r="C20" s="3">
        <f>C17*$A$20</f>
        <v>6477.808999999999</v>
      </c>
      <c r="D20" s="3">
        <f aca="true" t="shared" si="6" ref="D20:AD20">D17*$A$20</f>
        <v>6065.618</v>
      </c>
      <c r="E20" s="3">
        <f t="shared" si="6"/>
        <v>5653.427</v>
      </c>
      <c r="F20" s="3">
        <f t="shared" si="6"/>
        <v>5361.356</v>
      </c>
      <c r="G20" s="3">
        <f t="shared" si="6"/>
        <v>5222.945000000001</v>
      </c>
      <c r="H20" s="3">
        <f t="shared" si="6"/>
        <v>5084.534</v>
      </c>
      <c r="I20" s="3">
        <f t="shared" si="6"/>
        <v>4946.123</v>
      </c>
      <c r="J20" s="3">
        <f t="shared" si="6"/>
        <v>6477.808999999999</v>
      </c>
      <c r="K20" s="3">
        <f t="shared" si="6"/>
        <v>6065.618</v>
      </c>
      <c r="L20" s="3">
        <f t="shared" si="6"/>
        <v>5653.427</v>
      </c>
      <c r="M20" s="3">
        <f t="shared" si="6"/>
        <v>5361.356</v>
      </c>
      <c r="N20" s="3">
        <f t="shared" si="6"/>
        <v>5222.945000000001</v>
      </c>
      <c r="O20" s="3">
        <f t="shared" si="6"/>
        <v>5084.534</v>
      </c>
      <c r="P20" s="3">
        <f t="shared" si="6"/>
        <v>4946.123</v>
      </c>
      <c r="Q20" s="3">
        <f t="shared" si="6"/>
        <v>6477.808999999999</v>
      </c>
      <c r="R20" s="3">
        <f t="shared" si="6"/>
        <v>6065.618</v>
      </c>
      <c r="S20" s="3">
        <f t="shared" si="6"/>
        <v>5653.427</v>
      </c>
      <c r="T20" s="3">
        <f t="shared" si="6"/>
        <v>5361.356</v>
      </c>
      <c r="U20" s="3">
        <f t="shared" si="6"/>
        <v>5222.945000000001</v>
      </c>
      <c r="V20" s="3">
        <f t="shared" si="6"/>
        <v>5084.534</v>
      </c>
      <c r="W20" s="3">
        <f t="shared" si="6"/>
        <v>4946.123</v>
      </c>
      <c r="X20" s="3">
        <f t="shared" si="6"/>
        <v>6477.808999999999</v>
      </c>
      <c r="Y20" s="3">
        <f t="shared" si="6"/>
        <v>6065.618</v>
      </c>
      <c r="Z20" s="3">
        <f t="shared" si="6"/>
        <v>5653.427</v>
      </c>
      <c r="AA20" s="3">
        <f t="shared" si="6"/>
        <v>5361.356</v>
      </c>
      <c r="AB20" s="3">
        <f t="shared" si="6"/>
        <v>5222.945000000001</v>
      </c>
      <c r="AC20" s="3">
        <f t="shared" si="6"/>
        <v>5084.534</v>
      </c>
      <c r="AD20" s="3">
        <f t="shared" si="6"/>
        <v>4946.123</v>
      </c>
    </row>
    <row r="21" spans="1:30" ht="12">
      <c r="A21" s="9"/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">
      <c r="A22" s="7" t="s">
        <v>19</v>
      </c>
      <c r="B22" s="10" t="s">
        <v>40</v>
      </c>
      <c r="C22" s="3">
        <f>250*12</f>
        <v>3000</v>
      </c>
      <c r="D22" s="3">
        <f aca="true" t="shared" si="7" ref="D22:AD22">250*12</f>
        <v>3000</v>
      </c>
      <c r="E22" s="3">
        <f t="shared" si="7"/>
        <v>3000</v>
      </c>
      <c r="F22" s="3">
        <f t="shared" si="7"/>
        <v>3000</v>
      </c>
      <c r="G22" s="3">
        <f t="shared" si="7"/>
        <v>3000</v>
      </c>
      <c r="H22" s="3">
        <f t="shared" si="7"/>
        <v>3000</v>
      </c>
      <c r="I22" s="3">
        <f t="shared" si="7"/>
        <v>3000</v>
      </c>
      <c r="J22" s="3">
        <f t="shared" si="7"/>
        <v>3000</v>
      </c>
      <c r="K22" s="3">
        <f t="shared" si="7"/>
        <v>3000</v>
      </c>
      <c r="L22" s="3">
        <f t="shared" si="7"/>
        <v>3000</v>
      </c>
      <c r="M22" s="3">
        <f t="shared" si="7"/>
        <v>3000</v>
      </c>
      <c r="N22" s="3">
        <f t="shared" si="7"/>
        <v>3000</v>
      </c>
      <c r="O22" s="3">
        <f t="shared" si="7"/>
        <v>3000</v>
      </c>
      <c r="P22" s="3">
        <f t="shared" si="7"/>
        <v>3000</v>
      </c>
      <c r="Q22" s="3">
        <f t="shared" si="7"/>
        <v>3000</v>
      </c>
      <c r="R22" s="3">
        <f t="shared" si="7"/>
        <v>3000</v>
      </c>
      <c r="S22" s="3">
        <f t="shared" si="7"/>
        <v>3000</v>
      </c>
      <c r="T22" s="3">
        <f t="shared" si="7"/>
        <v>3000</v>
      </c>
      <c r="U22" s="3">
        <f t="shared" si="7"/>
        <v>3000</v>
      </c>
      <c r="V22" s="3">
        <f t="shared" si="7"/>
        <v>3000</v>
      </c>
      <c r="W22" s="3">
        <f t="shared" si="7"/>
        <v>3000</v>
      </c>
      <c r="X22" s="3">
        <f t="shared" si="7"/>
        <v>3000</v>
      </c>
      <c r="Y22" s="3">
        <f t="shared" si="7"/>
        <v>3000</v>
      </c>
      <c r="Z22" s="3">
        <f t="shared" si="7"/>
        <v>3000</v>
      </c>
      <c r="AA22" s="3">
        <f t="shared" si="7"/>
        <v>3000</v>
      </c>
      <c r="AB22" s="3">
        <f t="shared" si="7"/>
        <v>3000</v>
      </c>
      <c r="AC22" s="3">
        <f t="shared" si="7"/>
        <v>3000</v>
      </c>
      <c r="AD22" s="3">
        <f t="shared" si="7"/>
        <v>3000</v>
      </c>
    </row>
    <row r="23" spans="1:30" ht="12">
      <c r="A23" s="7" t="s">
        <v>18</v>
      </c>
      <c r="B23" s="10" t="s">
        <v>54</v>
      </c>
      <c r="C23" s="3">
        <f>C22/1.17*0.08</f>
        <v>205.12820512820517</v>
      </c>
      <c r="D23" s="3">
        <f aca="true" t="shared" si="8" ref="D23:AD23">D22/1.17*0.08</f>
        <v>205.12820512820517</v>
      </c>
      <c r="E23" s="3">
        <f t="shared" si="8"/>
        <v>205.12820512820517</v>
      </c>
      <c r="F23" s="3">
        <f t="shared" si="8"/>
        <v>205.12820512820517</v>
      </c>
      <c r="G23" s="3">
        <f t="shared" si="8"/>
        <v>205.12820512820517</v>
      </c>
      <c r="H23" s="3">
        <f t="shared" si="8"/>
        <v>205.12820512820517</v>
      </c>
      <c r="I23" s="3">
        <f t="shared" si="8"/>
        <v>205.12820512820517</v>
      </c>
      <c r="J23" s="3">
        <f t="shared" si="8"/>
        <v>205.12820512820517</v>
      </c>
      <c r="K23" s="3">
        <f t="shared" si="8"/>
        <v>205.12820512820517</v>
      </c>
      <c r="L23" s="3">
        <f t="shared" si="8"/>
        <v>205.12820512820517</v>
      </c>
      <c r="M23" s="3">
        <f t="shared" si="8"/>
        <v>205.12820512820517</v>
      </c>
      <c r="N23" s="3">
        <f t="shared" si="8"/>
        <v>205.12820512820517</v>
      </c>
      <c r="O23" s="3">
        <f t="shared" si="8"/>
        <v>205.12820512820517</v>
      </c>
      <c r="P23" s="3">
        <f t="shared" si="8"/>
        <v>205.12820512820517</v>
      </c>
      <c r="Q23" s="3">
        <f t="shared" si="8"/>
        <v>205.12820512820517</v>
      </c>
      <c r="R23" s="3">
        <f t="shared" si="8"/>
        <v>205.12820512820517</v>
      </c>
      <c r="S23" s="3">
        <f t="shared" si="8"/>
        <v>205.12820512820517</v>
      </c>
      <c r="T23" s="3">
        <f t="shared" si="8"/>
        <v>205.12820512820517</v>
      </c>
      <c r="U23" s="3">
        <f t="shared" si="8"/>
        <v>205.12820512820517</v>
      </c>
      <c r="V23" s="3">
        <f t="shared" si="8"/>
        <v>205.12820512820517</v>
      </c>
      <c r="W23" s="3">
        <f t="shared" si="8"/>
        <v>205.12820512820517</v>
      </c>
      <c r="X23" s="3">
        <f t="shared" si="8"/>
        <v>205.12820512820517</v>
      </c>
      <c r="Y23" s="3">
        <f t="shared" si="8"/>
        <v>205.12820512820517</v>
      </c>
      <c r="Z23" s="3">
        <f t="shared" si="8"/>
        <v>205.12820512820517</v>
      </c>
      <c r="AA23" s="3">
        <f t="shared" si="8"/>
        <v>205.12820512820517</v>
      </c>
      <c r="AB23" s="3">
        <f t="shared" si="8"/>
        <v>205.12820512820517</v>
      </c>
      <c r="AC23" s="3">
        <f t="shared" si="8"/>
        <v>205.12820512820517</v>
      </c>
      <c r="AD23" s="3">
        <f t="shared" si="8"/>
        <v>205.12820512820517</v>
      </c>
    </row>
    <row r="24" spans="1:30" ht="12">
      <c r="A24" s="7" t="s">
        <v>25</v>
      </c>
      <c r="B24" s="10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2" ht="12">
      <c r="A25" s="7"/>
      <c r="B25" s="10"/>
    </row>
    <row r="26" spans="1:30" ht="12">
      <c r="A26" s="7" t="s">
        <v>15</v>
      </c>
      <c r="B26" s="13">
        <f>NPV(B2,D26:AD26)+C26</f>
        <v>88176.87489613227</v>
      </c>
      <c r="C26" s="3">
        <f>C16+C20+C23</f>
        <v>12102.937205128204</v>
      </c>
      <c r="D26" s="3">
        <f aca="true" t="shared" si="9" ref="D26:AD26">D16+D20+D23</f>
        <v>11690.746205128205</v>
      </c>
      <c r="E26" s="3">
        <f t="shared" si="9"/>
        <v>11278.555205128205</v>
      </c>
      <c r="F26" s="3">
        <f t="shared" si="9"/>
        <v>9406.997025641025</v>
      </c>
      <c r="G26" s="3">
        <f t="shared" si="9"/>
        <v>7248.073205128206</v>
      </c>
      <c r="H26" s="3">
        <f t="shared" si="9"/>
        <v>7109.662205128205</v>
      </c>
      <c r="I26" s="3">
        <f t="shared" si="9"/>
        <v>6971.251205128205</v>
      </c>
      <c r="J26" s="3">
        <f t="shared" si="9"/>
        <v>12102.937205128204</v>
      </c>
      <c r="K26" s="3">
        <f t="shared" si="9"/>
        <v>11690.746205128205</v>
      </c>
      <c r="L26" s="3">
        <f t="shared" si="9"/>
        <v>11278.555205128205</v>
      </c>
      <c r="M26" s="3">
        <f t="shared" si="9"/>
        <v>9406.997025641025</v>
      </c>
      <c r="N26" s="3">
        <f t="shared" si="9"/>
        <v>7248.073205128206</v>
      </c>
      <c r="O26" s="3">
        <f t="shared" si="9"/>
        <v>7109.662205128205</v>
      </c>
      <c r="P26" s="3">
        <f t="shared" si="9"/>
        <v>6971.251205128205</v>
      </c>
      <c r="Q26" s="3">
        <f t="shared" si="9"/>
        <v>12102.937205128204</v>
      </c>
      <c r="R26" s="3">
        <f t="shared" si="9"/>
        <v>11690.746205128205</v>
      </c>
      <c r="S26" s="3">
        <f t="shared" si="9"/>
        <v>11278.555205128205</v>
      </c>
      <c r="T26" s="3">
        <f t="shared" si="9"/>
        <v>9406.997025641025</v>
      </c>
      <c r="U26" s="3">
        <f t="shared" si="9"/>
        <v>7248.073205128206</v>
      </c>
      <c r="V26" s="3">
        <f t="shared" si="9"/>
        <v>7109.662205128205</v>
      </c>
      <c r="W26" s="3">
        <f t="shared" si="9"/>
        <v>6971.251205128205</v>
      </c>
      <c r="X26" s="3">
        <f t="shared" si="9"/>
        <v>12102.937205128204</v>
      </c>
      <c r="Y26" s="3">
        <f t="shared" si="9"/>
        <v>11690.746205128205</v>
      </c>
      <c r="Z26" s="3">
        <f t="shared" si="9"/>
        <v>11278.555205128205</v>
      </c>
      <c r="AA26" s="3">
        <f t="shared" si="9"/>
        <v>9406.997025641025</v>
      </c>
      <c r="AB26" s="3">
        <f t="shared" si="9"/>
        <v>7248.073205128206</v>
      </c>
      <c r="AC26" s="3">
        <f t="shared" si="9"/>
        <v>7109.662205128205</v>
      </c>
      <c r="AD26" s="3">
        <f t="shared" si="9"/>
        <v>6971.251205128205</v>
      </c>
    </row>
    <row r="27" spans="1:3" ht="12">
      <c r="A27" s="7" t="s">
        <v>60</v>
      </c>
      <c r="B27" t="s">
        <v>41</v>
      </c>
      <c r="C27" t="s">
        <v>6</v>
      </c>
    </row>
    <row r="28" spans="1:3" ht="12">
      <c r="A28" s="7" t="s">
        <v>20</v>
      </c>
      <c r="B28" s="10">
        <v>300</v>
      </c>
      <c r="C28" t="s">
        <v>42</v>
      </c>
    </row>
    <row r="29" spans="1:3" ht="12">
      <c r="A29" s="7" t="s">
        <v>21</v>
      </c>
      <c r="B29" s="14">
        <v>0.98</v>
      </c>
      <c r="C29" t="s">
        <v>43</v>
      </c>
    </row>
    <row r="30" spans="1:3" ht="12">
      <c r="A30" s="7" t="s">
        <v>55</v>
      </c>
      <c r="B30" s="15">
        <f>B26*B28*B29</f>
        <v>25924001.21946289</v>
      </c>
      <c r="C30" t="s">
        <v>44</v>
      </c>
    </row>
    <row r="31" spans="1:2" ht="12">
      <c r="A31" s="7"/>
      <c r="B31" s="15"/>
    </row>
    <row r="32" spans="1:30" ht="12">
      <c r="A32" s="7" t="s">
        <v>62</v>
      </c>
      <c r="B32" s="3">
        <f>7.5*625*12</f>
        <v>56250</v>
      </c>
      <c r="C32" s="3">
        <f>7.5*625*12</f>
        <v>56250</v>
      </c>
      <c r="D32" s="3">
        <f aca="true" t="shared" si="10" ref="D32:AD32">7.5*625*12</f>
        <v>56250</v>
      </c>
      <c r="E32" s="3">
        <f t="shared" si="10"/>
        <v>56250</v>
      </c>
      <c r="F32" s="3">
        <f t="shared" si="10"/>
        <v>56250</v>
      </c>
      <c r="G32" s="3">
        <f t="shared" si="10"/>
        <v>56250</v>
      </c>
      <c r="H32" s="3">
        <f t="shared" si="10"/>
        <v>56250</v>
      </c>
      <c r="I32" s="3">
        <f t="shared" si="10"/>
        <v>56250</v>
      </c>
      <c r="J32" s="3">
        <f t="shared" si="10"/>
        <v>56250</v>
      </c>
      <c r="K32" s="3">
        <f t="shared" si="10"/>
        <v>56250</v>
      </c>
      <c r="L32" s="3">
        <f t="shared" si="10"/>
        <v>56250</v>
      </c>
      <c r="M32" s="3">
        <f t="shared" si="10"/>
        <v>56250</v>
      </c>
      <c r="N32" s="3">
        <f t="shared" si="10"/>
        <v>56250</v>
      </c>
      <c r="O32" s="3">
        <f t="shared" si="10"/>
        <v>56250</v>
      </c>
      <c r="P32" s="3">
        <f t="shared" si="10"/>
        <v>56250</v>
      </c>
      <c r="Q32" s="3">
        <f t="shared" si="10"/>
        <v>56250</v>
      </c>
      <c r="R32" s="3">
        <f t="shared" si="10"/>
        <v>56250</v>
      </c>
      <c r="S32" s="3">
        <f t="shared" si="10"/>
        <v>56250</v>
      </c>
      <c r="T32" s="3">
        <f t="shared" si="10"/>
        <v>56250</v>
      </c>
      <c r="U32" s="3">
        <f t="shared" si="10"/>
        <v>56250</v>
      </c>
      <c r="V32" s="3">
        <f t="shared" si="10"/>
        <v>56250</v>
      </c>
      <c r="W32" s="3">
        <f t="shared" si="10"/>
        <v>56250</v>
      </c>
      <c r="X32" s="3">
        <f t="shared" si="10"/>
        <v>56250</v>
      </c>
      <c r="Y32" s="3">
        <f t="shared" si="10"/>
        <v>56250</v>
      </c>
      <c r="Z32" s="3">
        <f t="shared" si="10"/>
        <v>56250</v>
      </c>
      <c r="AA32" s="3">
        <f t="shared" si="10"/>
        <v>56250</v>
      </c>
      <c r="AB32" s="3">
        <f t="shared" si="10"/>
        <v>56250</v>
      </c>
      <c r="AC32" s="3">
        <f t="shared" si="10"/>
        <v>56250</v>
      </c>
      <c r="AD32" s="3">
        <f t="shared" si="10"/>
        <v>56250</v>
      </c>
    </row>
    <row r="33" spans="1:2" ht="12">
      <c r="A33" s="7" t="s">
        <v>59</v>
      </c>
      <c r="B33" s="10" t="s">
        <v>45</v>
      </c>
    </row>
    <row r="34" spans="1:30" ht="12">
      <c r="A34" s="7" t="s">
        <v>64</v>
      </c>
      <c r="B34" s="15">
        <f>NPV(B2,D34:AD34)+C34</f>
        <v>134138.30251990448</v>
      </c>
      <c r="C34" s="3">
        <f>25*50*12</f>
        <v>15000</v>
      </c>
      <c r="D34" s="3">
        <f aca="true" t="shared" si="11" ref="D34:AD34">25*50*12</f>
        <v>15000</v>
      </c>
      <c r="E34" s="3">
        <f t="shared" si="11"/>
        <v>15000</v>
      </c>
      <c r="F34" s="3">
        <f t="shared" si="11"/>
        <v>15000</v>
      </c>
      <c r="G34" s="3">
        <f t="shared" si="11"/>
        <v>15000</v>
      </c>
      <c r="H34" s="3">
        <f t="shared" si="11"/>
        <v>15000</v>
      </c>
      <c r="I34" s="3">
        <f t="shared" si="11"/>
        <v>15000</v>
      </c>
      <c r="J34" s="3">
        <f t="shared" si="11"/>
        <v>15000</v>
      </c>
      <c r="K34" s="3">
        <f t="shared" si="11"/>
        <v>15000</v>
      </c>
      <c r="L34" s="3">
        <f t="shared" si="11"/>
        <v>15000</v>
      </c>
      <c r="M34" s="3">
        <f t="shared" si="11"/>
        <v>15000</v>
      </c>
      <c r="N34" s="3">
        <f t="shared" si="11"/>
        <v>15000</v>
      </c>
      <c r="O34" s="3">
        <f t="shared" si="11"/>
        <v>15000</v>
      </c>
      <c r="P34" s="3">
        <f t="shared" si="11"/>
        <v>15000</v>
      </c>
      <c r="Q34" s="3">
        <f t="shared" si="11"/>
        <v>15000</v>
      </c>
      <c r="R34" s="3">
        <f t="shared" si="11"/>
        <v>15000</v>
      </c>
      <c r="S34" s="3">
        <f t="shared" si="11"/>
        <v>15000</v>
      </c>
      <c r="T34" s="3">
        <f t="shared" si="11"/>
        <v>15000</v>
      </c>
      <c r="U34" s="3">
        <f t="shared" si="11"/>
        <v>15000</v>
      </c>
      <c r="V34" s="3">
        <f t="shared" si="11"/>
        <v>15000</v>
      </c>
      <c r="W34" s="3">
        <f t="shared" si="11"/>
        <v>15000</v>
      </c>
      <c r="X34" s="3">
        <f t="shared" si="11"/>
        <v>15000</v>
      </c>
      <c r="Y34" s="3">
        <f t="shared" si="11"/>
        <v>15000</v>
      </c>
      <c r="Z34" s="3">
        <f t="shared" si="11"/>
        <v>15000</v>
      </c>
      <c r="AA34" s="3">
        <f t="shared" si="11"/>
        <v>15000</v>
      </c>
      <c r="AB34" s="3">
        <f t="shared" si="11"/>
        <v>15000</v>
      </c>
      <c r="AC34" s="3">
        <f t="shared" si="11"/>
        <v>15000</v>
      </c>
      <c r="AD34" s="3">
        <f t="shared" si="11"/>
        <v>15000</v>
      </c>
    </row>
    <row r="35" spans="1:2" ht="12">
      <c r="A35" s="7" t="s">
        <v>59</v>
      </c>
      <c r="B35" s="10" t="s">
        <v>46</v>
      </c>
    </row>
    <row r="36" spans="1:30" ht="12">
      <c r="A36" s="7" t="s">
        <v>22</v>
      </c>
      <c r="B36" s="10"/>
      <c r="C36" s="3">
        <f>1250*40</f>
        <v>50000</v>
      </c>
      <c r="D36" s="3">
        <f aca="true" t="shared" si="12" ref="D36:AD36">1250*40</f>
        <v>50000</v>
      </c>
      <c r="E36" s="3">
        <f t="shared" si="12"/>
        <v>50000</v>
      </c>
      <c r="F36" s="3">
        <f t="shared" si="12"/>
        <v>50000</v>
      </c>
      <c r="G36" s="3">
        <f t="shared" si="12"/>
        <v>50000</v>
      </c>
      <c r="H36" s="3">
        <f t="shared" si="12"/>
        <v>50000</v>
      </c>
      <c r="I36" s="3">
        <f t="shared" si="12"/>
        <v>50000</v>
      </c>
      <c r="J36" s="3">
        <f t="shared" si="12"/>
        <v>50000</v>
      </c>
      <c r="K36" s="3">
        <f t="shared" si="12"/>
        <v>50000</v>
      </c>
      <c r="L36" s="3">
        <f t="shared" si="12"/>
        <v>50000</v>
      </c>
      <c r="M36" s="3">
        <f t="shared" si="12"/>
        <v>50000</v>
      </c>
      <c r="N36" s="3">
        <f t="shared" si="12"/>
        <v>50000</v>
      </c>
      <c r="O36" s="3">
        <f t="shared" si="12"/>
        <v>50000</v>
      </c>
      <c r="P36" s="3">
        <f t="shared" si="12"/>
        <v>50000</v>
      </c>
      <c r="Q36" s="3">
        <f t="shared" si="12"/>
        <v>50000</v>
      </c>
      <c r="R36" s="3">
        <f t="shared" si="12"/>
        <v>50000</v>
      </c>
      <c r="S36" s="3">
        <f t="shared" si="12"/>
        <v>50000</v>
      </c>
      <c r="T36" s="3">
        <f t="shared" si="12"/>
        <v>50000</v>
      </c>
      <c r="U36" s="3">
        <f t="shared" si="12"/>
        <v>50000</v>
      </c>
      <c r="V36" s="3">
        <f t="shared" si="12"/>
        <v>50000</v>
      </c>
      <c r="W36" s="3">
        <f t="shared" si="12"/>
        <v>50000</v>
      </c>
      <c r="X36" s="3">
        <f t="shared" si="12"/>
        <v>50000</v>
      </c>
      <c r="Y36" s="3">
        <f t="shared" si="12"/>
        <v>50000</v>
      </c>
      <c r="Z36" s="3">
        <f t="shared" si="12"/>
        <v>50000</v>
      </c>
      <c r="AA36" s="3">
        <f t="shared" si="12"/>
        <v>50000</v>
      </c>
      <c r="AB36" s="3">
        <f t="shared" si="12"/>
        <v>50000</v>
      </c>
      <c r="AC36" s="3">
        <f t="shared" si="12"/>
        <v>50000</v>
      </c>
      <c r="AD36" s="3">
        <f t="shared" si="12"/>
        <v>50000</v>
      </c>
    </row>
    <row r="37" spans="1:30" ht="12">
      <c r="A37" s="19" t="s">
        <v>23</v>
      </c>
      <c r="B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">
      <c r="A38" s="7" t="s">
        <v>24</v>
      </c>
      <c r="B38" s="10"/>
      <c r="C38" s="3">
        <f>500*40</f>
        <v>20000</v>
      </c>
      <c r="D38" s="3">
        <f>500*40</f>
        <v>20000</v>
      </c>
      <c r="E38" s="3">
        <f aca="true" t="shared" si="13" ref="E38:AD38">500*40</f>
        <v>20000</v>
      </c>
      <c r="F38" s="3">
        <f t="shared" si="13"/>
        <v>20000</v>
      </c>
      <c r="G38" s="3">
        <f t="shared" si="13"/>
        <v>20000</v>
      </c>
      <c r="H38" s="3">
        <f t="shared" si="13"/>
        <v>20000</v>
      </c>
      <c r="I38" s="3">
        <f t="shared" si="13"/>
        <v>20000</v>
      </c>
      <c r="J38" s="3">
        <f t="shared" si="13"/>
        <v>20000</v>
      </c>
      <c r="K38" s="3">
        <f t="shared" si="13"/>
        <v>20000</v>
      </c>
      <c r="L38" s="3">
        <f t="shared" si="13"/>
        <v>20000</v>
      </c>
      <c r="M38" s="3">
        <f t="shared" si="13"/>
        <v>20000</v>
      </c>
      <c r="N38" s="3">
        <f t="shared" si="13"/>
        <v>20000</v>
      </c>
      <c r="O38" s="3">
        <f t="shared" si="13"/>
        <v>20000</v>
      </c>
      <c r="P38" s="3">
        <f t="shared" si="13"/>
        <v>20000</v>
      </c>
      <c r="Q38" s="3">
        <f t="shared" si="13"/>
        <v>20000</v>
      </c>
      <c r="R38" s="3">
        <f t="shared" si="13"/>
        <v>20000</v>
      </c>
      <c r="S38" s="3">
        <f t="shared" si="13"/>
        <v>20000</v>
      </c>
      <c r="T38" s="3">
        <f t="shared" si="13"/>
        <v>20000</v>
      </c>
      <c r="U38" s="3">
        <f t="shared" si="13"/>
        <v>20000</v>
      </c>
      <c r="V38" s="3">
        <f t="shared" si="13"/>
        <v>20000</v>
      </c>
      <c r="W38" s="3">
        <f t="shared" si="13"/>
        <v>20000</v>
      </c>
      <c r="X38" s="3">
        <f t="shared" si="13"/>
        <v>20000</v>
      </c>
      <c r="Y38" s="3">
        <f t="shared" si="13"/>
        <v>20000</v>
      </c>
      <c r="Z38" s="3">
        <f t="shared" si="13"/>
        <v>20000</v>
      </c>
      <c r="AA38" s="3">
        <f t="shared" si="13"/>
        <v>20000</v>
      </c>
      <c r="AB38" s="3">
        <f t="shared" si="13"/>
        <v>20000</v>
      </c>
      <c r="AC38" s="3">
        <f t="shared" si="13"/>
        <v>20000</v>
      </c>
      <c r="AD38" s="3">
        <f t="shared" si="13"/>
        <v>20000</v>
      </c>
    </row>
    <row r="39" spans="1:30" ht="12">
      <c r="A39" s="7" t="s">
        <v>58</v>
      </c>
      <c r="B39" s="21">
        <f>NPV(B2,D39:AD39)+C39</f>
        <v>268276.60503980896</v>
      </c>
      <c r="C39" s="3">
        <f>C36-C38</f>
        <v>30000</v>
      </c>
      <c r="D39" s="3">
        <f aca="true" t="shared" si="14" ref="D39:AD39">D36-D38</f>
        <v>30000</v>
      </c>
      <c r="E39" s="3">
        <f t="shared" si="14"/>
        <v>30000</v>
      </c>
      <c r="F39" s="3">
        <f t="shared" si="14"/>
        <v>30000</v>
      </c>
      <c r="G39" s="3">
        <f t="shared" si="14"/>
        <v>30000</v>
      </c>
      <c r="H39" s="3">
        <f t="shared" si="14"/>
        <v>30000</v>
      </c>
      <c r="I39" s="3">
        <f t="shared" si="14"/>
        <v>30000</v>
      </c>
      <c r="J39" s="3">
        <f t="shared" si="14"/>
        <v>30000</v>
      </c>
      <c r="K39" s="3">
        <f t="shared" si="14"/>
        <v>30000</v>
      </c>
      <c r="L39" s="3">
        <f t="shared" si="14"/>
        <v>30000</v>
      </c>
      <c r="M39" s="3">
        <f t="shared" si="14"/>
        <v>30000</v>
      </c>
      <c r="N39" s="3">
        <f t="shared" si="14"/>
        <v>30000</v>
      </c>
      <c r="O39" s="3">
        <f t="shared" si="14"/>
        <v>30000</v>
      </c>
      <c r="P39" s="3">
        <f t="shared" si="14"/>
        <v>30000</v>
      </c>
      <c r="Q39" s="3">
        <f t="shared" si="14"/>
        <v>30000</v>
      </c>
      <c r="R39" s="3">
        <f t="shared" si="14"/>
        <v>30000</v>
      </c>
      <c r="S39" s="3">
        <f t="shared" si="14"/>
        <v>30000</v>
      </c>
      <c r="T39" s="3">
        <f t="shared" si="14"/>
        <v>30000</v>
      </c>
      <c r="U39" s="3">
        <f t="shared" si="14"/>
        <v>30000</v>
      </c>
      <c r="V39" s="3">
        <f t="shared" si="14"/>
        <v>30000</v>
      </c>
      <c r="W39" s="3">
        <f t="shared" si="14"/>
        <v>30000</v>
      </c>
      <c r="X39" s="3">
        <f t="shared" si="14"/>
        <v>30000</v>
      </c>
      <c r="Y39" s="3">
        <f t="shared" si="14"/>
        <v>30000</v>
      </c>
      <c r="Z39" s="3">
        <f t="shared" si="14"/>
        <v>30000</v>
      </c>
      <c r="AA39" s="3">
        <f t="shared" si="14"/>
        <v>30000</v>
      </c>
      <c r="AB39" s="3">
        <f t="shared" si="14"/>
        <v>30000</v>
      </c>
      <c r="AC39" s="3">
        <f t="shared" si="14"/>
        <v>30000</v>
      </c>
      <c r="AD39" s="3">
        <f t="shared" si="14"/>
        <v>30000</v>
      </c>
    </row>
    <row r="40" spans="1:2" ht="12">
      <c r="A40" s="10" t="s">
        <v>59</v>
      </c>
      <c r="B40" s="10" t="s">
        <v>6</v>
      </c>
    </row>
    <row r="41" spans="1:3" ht="12">
      <c r="A41" s="7" t="s">
        <v>56</v>
      </c>
      <c r="B41" s="15">
        <f>B30+B32+B34+B39</f>
        <v>26382666.127022605</v>
      </c>
      <c r="C41" t="s">
        <v>47</v>
      </c>
    </row>
    <row r="42" spans="1:31" ht="12">
      <c r="A42" s="7" t="s">
        <v>57</v>
      </c>
      <c r="B42" s="15">
        <f>PV(0.065,29,,-AE42)</f>
        <v>1690638.1842729826</v>
      </c>
      <c r="C42" t="s">
        <v>48</v>
      </c>
      <c r="AE42" s="3">
        <f>(35000*B28)</f>
        <v>10500000</v>
      </c>
    </row>
    <row r="43" spans="1:31" ht="12">
      <c r="A43" s="7"/>
      <c r="B43" s="10"/>
      <c r="C43" s="4" t="s">
        <v>6</v>
      </c>
      <c r="AE43" t="s">
        <v>61</v>
      </c>
    </row>
    <row r="44" spans="1:3" ht="12">
      <c r="A44" s="16" t="s">
        <v>29</v>
      </c>
      <c r="B44" s="17">
        <f>B41+B42</f>
        <v>28073304.311295588</v>
      </c>
      <c r="C44" t="s">
        <v>49</v>
      </c>
    </row>
    <row r="45" spans="1:2" ht="12">
      <c r="A45" s="16" t="s">
        <v>65</v>
      </c>
      <c r="B45" s="17">
        <f>B44/300</f>
        <v>93577.68103765196</v>
      </c>
    </row>
    <row r="46" spans="1:2" ht="12">
      <c r="A46" s="16" t="s">
        <v>63</v>
      </c>
      <c r="B46" s="17">
        <f>B44/12500</f>
        <v>2245.864344903647</v>
      </c>
    </row>
    <row r="47" spans="1:2" ht="12">
      <c r="A47" s="16" t="s">
        <v>66</v>
      </c>
      <c r="B47" s="17">
        <f>B46/1.17</f>
        <v>1919.5421751313224</v>
      </c>
    </row>
    <row r="48" spans="1:2" ht="12">
      <c r="A48" s="16" t="s">
        <v>67</v>
      </c>
      <c r="B48" s="17">
        <v>1250</v>
      </c>
    </row>
    <row r="49" spans="1:2" ht="12">
      <c r="A49" s="16" t="s">
        <v>68</v>
      </c>
      <c r="B49" s="17">
        <f>B47-B48</f>
        <v>669.5421751313224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&amp;Lאהרון  בוץ  שמאי  מקרקעין
שיעור "עסק חי"&amp;C&amp;"David,מודגש"&amp;14מודל להערכת שווי שוק לבית דיור מוגן כ"עסק - חי" ומניב הכנסה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8"/>
  <sheetViews>
    <sheetView rightToLeft="1" zoomScalePageLayoutView="0" workbookViewId="0" topLeftCell="A1">
      <selection activeCell="A10" sqref="A10"/>
    </sheetView>
  </sheetViews>
  <sheetFormatPr defaultColWidth="9.140625" defaultRowHeight="12.75"/>
  <cols>
    <col min="2" max="2" width="3.421875" style="0" customWidth="1"/>
    <col min="4" max="4" width="3.28125" style="0" customWidth="1"/>
    <col min="6" max="6" width="15.8515625" style="0" customWidth="1"/>
  </cols>
  <sheetData>
    <row r="4" spans="1:6" ht="12">
      <c r="A4" s="22">
        <f>E4*C4</f>
        <v>0.0234</v>
      </c>
      <c r="B4" s="23" t="s">
        <v>70</v>
      </c>
      <c r="C4" s="24">
        <v>1.17</v>
      </c>
      <c r="D4" s="25" t="s">
        <v>69</v>
      </c>
      <c r="E4" s="24">
        <v>0.02</v>
      </c>
      <c r="F4" s="26" t="s">
        <v>72</v>
      </c>
    </row>
    <row r="5" spans="1:6" ht="12">
      <c r="A5" s="27"/>
      <c r="B5" s="28"/>
      <c r="C5" s="28"/>
      <c r="D5" s="28"/>
      <c r="E5" s="28"/>
      <c r="F5" s="7"/>
    </row>
    <row r="6" spans="1:6" ht="12">
      <c r="A6" s="29">
        <f>E6/C6</f>
        <v>42.73504273504273</v>
      </c>
      <c r="B6" s="30" t="s">
        <v>70</v>
      </c>
      <c r="C6" s="31">
        <f>A4</f>
        <v>0.0234</v>
      </c>
      <c r="D6" s="30" t="s">
        <v>71</v>
      </c>
      <c r="E6" s="32">
        <v>1</v>
      </c>
      <c r="F6" s="33" t="s">
        <v>73</v>
      </c>
    </row>
    <row r="7" spans="1:6" ht="12">
      <c r="A7" s="27"/>
      <c r="B7" s="28"/>
      <c r="C7" s="28"/>
      <c r="D7" s="28"/>
      <c r="E7" s="28"/>
      <c r="F7" s="7"/>
    </row>
    <row r="8" spans="1:6" ht="12">
      <c r="A8" s="34">
        <f>E8/C8</f>
        <v>3.561253561253561</v>
      </c>
      <c r="B8" s="35" t="s">
        <v>70</v>
      </c>
      <c r="C8" s="5">
        <v>12</v>
      </c>
      <c r="D8" s="35" t="s">
        <v>71</v>
      </c>
      <c r="E8" s="5">
        <f>A6</f>
        <v>42.73504273504273</v>
      </c>
      <c r="F8" s="36" t="s">
        <v>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לטלט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אהרון בוץ</dc:creator>
  <cp:keywords/>
  <dc:description/>
  <cp:lastModifiedBy>user</cp:lastModifiedBy>
  <cp:lastPrinted>2016-12-21T06:33:54Z</cp:lastPrinted>
  <dcterms:created xsi:type="dcterms:W3CDTF">2000-12-29T11:16:36Z</dcterms:created>
  <dcterms:modified xsi:type="dcterms:W3CDTF">2016-12-21T08:13:45Z</dcterms:modified>
  <cp:category/>
  <cp:version/>
  <cp:contentType/>
  <cp:contentStatus/>
</cp:coreProperties>
</file>